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20" windowHeight="9300" activeTab="0"/>
  </bookViews>
  <sheets>
    <sheet name="Calculations" sheetId="1" r:id="rId1"/>
    <sheet name="Help" sheetId="2" r:id="rId2"/>
  </sheets>
  <definedNames/>
  <calcPr fullCalcOnLoad="1" iterate="1" iterateCount="100" iterateDelta="0.001"/>
</workbook>
</file>

<file path=xl/sharedStrings.xml><?xml version="1.0" encoding="utf-8"?>
<sst xmlns="http://schemas.openxmlformats.org/spreadsheetml/2006/main" count="280" uniqueCount="170">
  <si>
    <t>Air Properties</t>
  </si>
  <si>
    <t>Molecular weight</t>
  </si>
  <si>
    <t>Z</t>
  </si>
  <si>
    <t>k-1/k</t>
  </si>
  <si>
    <t>Engine Data</t>
  </si>
  <si>
    <t>engine rpm</t>
  </si>
  <si>
    <t>revs/min</t>
  </si>
  <si>
    <t>displacement</t>
  </si>
  <si>
    <t>cu inch</t>
  </si>
  <si>
    <t>volumetric efficiency</t>
  </si>
  <si>
    <t>number of turbos</t>
  </si>
  <si>
    <t>compressor efficiency</t>
  </si>
  <si>
    <t>Ambient Conditions</t>
  </si>
  <si>
    <t>local baro pressure</t>
  </si>
  <si>
    <t>in Hg</t>
  </si>
  <si>
    <t>psia</t>
  </si>
  <si>
    <t>ambient temp</t>
  </si>
  <si>
    <t>deg F</t>
  </si>
  <si>
    <t>Conditions at Compressor Inlet</t>
  </si>
  <si>
    <t>Vacuum drawn at inlet</t>
  </si>
  <si>
    <t>Inlet Pressure</t>
  </si>
  <si>
    <t>Inlet density</t>
  </si>
  <si>
    <t>lb/ft3</t>
  </si>
  <si>
    <t>Conditions at Compressor Outlet</t>
  </si>
  <si>
    <t>outlet pres</t>
  </si>
  <si>
    <t>psig</t>
  </si>
  <si>
    <t>outlet temp</t>
  </si>
  <si>
    <t>P2/P1</t>
  </si>
  <si>
    <t>outlet density</t>
  </si>
  <si>
    <t>Conditions at Intercooler Outlet</t>
  </si>
  <si>
    <t>manifold pres</t>
  </si>
  <si>
    <t>manifold temp</t>
  </si>
  <si>
    <t>manifold density</t>
  </si>
  <si>
    <t>IC pressure drop</t>
  </si>
  <si>
    <t>psi</t>
  </si>
  <si>
    <t>Results, mass and volume flows</t>
  </si>
  <si>
    <t>compressor air flow</t>
  </si>
  <si>
    <t>lb/min, ideal</t>
  </si>
  <si>
    <t>lb/min, actual</t>
  </si>
  <si>
    <t>gm/sec, actual</t>
  </si>
  <si>
    <t>total engine air flow</t>
  </si>
  <si>
    <t>ACFM, actual inlet</t>
  </si>
  <si>
    <t>ACFM, actual outlet</t>
  </si>
  <si>
    <t>corrected suction flow</t>
  </si>
  <si>
    <t>lb/min</t>
  </si>
  <si>
    <t>Pressure ratio</t>
  </si>
  <si>
    <t>Fuel Injectors</t>
  </si>
  <si>
    <t>No. of injectors</t>
  </si>
  <si>
    <t>Desired duty cycle</t>
  </si>
  <si>
    <t>A/F ratio</t>
  </si>
  <si>
    <t>:1</t>
  </si>
  <si>
    <t>fuel specific gravity</t>
  </si>
  <si>
    <t>fuel required</t>
  </si>
  <si>
    <t>gal/hr</t>
  </si>
  <si>
    <t>Injector size req'd</t>
  </si>
  <si>
    <t>lb/hr</t>
  </si>
  <si>
    <t>engine hp potential</t>
  </si>
  <si>
    <t>hp @ BSFC=0.7</t>
  </si>
  <si>
    <t>hp @ BSFC=0.6</t>
  </si>
  <si>
    <t>hp @ BSFC=0.5</t>
  </si>
  <si>
    <t>Compressor Head and Horsepower req'd</t>
  </si>
  <si>
    <t>polytropic factor</t>
  </si>
  <si>
    <t>(n-1)/n</t>
  </si>
  <si>
    <t>head req'd</t>
  </si>
  <si>
    <t>ft</t>
  </si>
  <si>
    <t>horsepower req'd</t>
  </si>
  <si>
    <t>hp required to drive compressor</t>
  </si>
  <si>
    <t>Exhaust Properties</t>
  </si>
  <si>
    <t>EGT</t>
  </si>
  <si>
    <t>exhaust MW</t>
  </si>
  <si>
    <t>(k-1)/k</t>
  </si>
  <si>
    <t>Exhaust flow</t>
  </si>
  <si>
    <t>% bypassed to WG</t>
  </si>
  <si>
    <t>of total to wastegate</t>
  </si>
  <si>
    <t>Flow thru turbine</t>
  </si>
  <si>
    <t>Turbine Power Recovery</t>
  </si>
  <si>
    <t>isentropic efficiency</t>
  </si>
  <si>
    <t>mechanical efficiency</t>
  </si>
  <si>
    <t>hp delivered</t>
  </si>
  <si>
    <t>hp</t>
  </si>
  <si>
    <t>Pres. ratio req'd</t>
  </si>
  <si>
    <t>inlet/outlet pressure</t>
  </si>
  <si>
    <t>post turbine EGT</t>
  </si>
  <si>
    <t>Exhaust Pressures</t>
  </si>
  <si>
    <t>TOP</t>
  </si>
  <si>
    <t>psig, turbine outlet pressure</t>
  </si>
  <si>
    <t>TIP</t>
  </si>
  <si>
    <t>TIP/boost</t>
  </si>
  <si>
    <t>Data for use with Turbonetics curves</t>
  </si>
  <si>
    <t>pressure correction</t>
  </si>
  <si>
    <t>temperature correction</t>
  </si>
  <si>
    <t>Velocities</t>
  </si>
  <si>
    <t>ft/sec</t>
  </si>
  <si>
    <t>inch inside diameter</t>
  </si>
  <si>
    <t>Inlet Pipe Velocity</t>
  </si>
  <si>
    <t>Compressor Inlet Pipe</t>
  </si>
  <si>
    <t>Compressor Outlet Pipe</t>
  </si>
  <si>
    <t>Outlet Pipe Velocity</t>
  </si>
  <si>
    <t>IC Outlet Pipe</t>
  </si>
  <si>
    <t>Up Pipe Velocity</t>
  </si>
  <si>
    <t>Engine Air Flow / Compressor Sizing Calculations</t>
  </si>
  <si>
    <t>Fuel Injector Sizing Calculations</t>
  </si>
  <si>
    <t>Turbine Performance / Exhaust Pressure Calculations</t>
  </si>
  <si>
    <t>Pipe Velocity Calculations</t>
  </si>
  <si>
    <t>These are the physical properties of air that I use in my calculations.</t>
  </si>
  <si>
    <t>There should be no need to change any of these unless you just don't</t>
  </si>
  <si>
    <t>agree with the values I used for some reason.</t>
  </si>
  <si>
    <t>This is the percentage of air that the cylinder takes in compared to the ideal amount of air it could theoretically take in.  This is based on the intake manifold pressure, *NOT* ambient pressure, so a supercharged engine will still have a max VE of 100% or so.</t>
  </si>
  <si>
    <t>self explanatory</t>
  </si>
  <si>
    <t>in cubic inches.  Cubic inches = liters x 61.024</t>
  </si>
  <si>
    <t>The adiabatic efficiency, read from a compressor curve.  Typically 60-75% for a centrifugal compressor.</t>
  </si>
  <si>
    <t>local air pressure, in inches of mercury.  Sea level is about 29.9-30, this drops as you go up in elevation.  El Paso, TX is about 26.2.</t>
  </si>
  <si>
    <t>outside air temperature</t>
  </si>
  <si>
    <t>There is a vacuum drawn at the compressor inlet.  Long inlet pipes, restrictive air filters, mass air sensors (if present) all increase the amount of vacuum.  2 inches might be a good guess if you have no other data.</t>
  </si>
  <si>
    <t>Calculated air pressure from the local barometric pressure and the vacuum drawn at the inlet.</t>
  </si>
  <si>
    <t>Calculated air density at the inlet based on ambient air temp and the inlet pressure.</t>
  </si>
  <si>
    <t>Calculated based on the compression ratio, ambient air temp, and adiabatic efficiency.</t>
  </si>
  <si>
    <t>The compression ratio of the compressor.  Outlet absolute pressure/inlet absolute pressure.</t>
  </si>
  <si>
    <t>Calculated air density in the compressor outlet.</t>
  </si>
  <si>
    <t>The desired boost pressure.</t>
  </si>
  <si>
    <t>The intercooler outlet temperature.  If there is no intercooler, use the compressor outlet temperature here.  If you don't what the IC outlet temperature is (or will be), use ambient air temp + 40 deg as a guess (assuming and air to air IC will be used).</t>
  </si>
  <si>
    <t>Calculated air density in the intake manifold.</t>
  </si>
  <si>
    <t>Difference between boost (manifold) pressure and compressor outlet pressure.  Must be greater than 0 unless no IC is used.</t>
  </si>
  <si>
    <t>Mass flow of air through one compressor if there was perfect cylinder filling.</t>
  </si>
  <si>
    <t>Actual air flow = Ideal mass flow of air through one compressor x the volumteric efficiency.</t>
  </si>
  <si>
    <t>Same as above but in grams per second rather than lbs per minute.</t>
  </si>
  <si>
    <t>Compressor flow x number of compressors.</t>
  </si>
  <si>
    <t>Volumetric air flow into the compressor, as opposed to the *mass* air flows shown above.</t>
  </si>
  <si>
    <t>Volumetric air flow out of the compressor.</t>
  </si>
  <si>
    <t>The compressor curves listed on Turbonetics website need to have the inlet pressure and temperature corrected to a standard condition before the curves can be properly used.  With those curves use the pressure ratio and flow shown below.</t>
  </si>
  <si>
    <t>All calculations below are based on the air flow requirements calculated in the section above.</t>
  </si>
  <si>
    <t>Usually not more than 80-90%.</t>
  </si>
  <si>
    <t>Often 11.5-12:1 for high boost applications.</t>
  </si>
  <si>
    <t>density of the fuel / density of water.  From your favorite fuel vendor.  Leave the default value if you have no idea.  This will have a slight effect on the volume of fuel needed.</t>
  </si>
  <si>
    <t>Calculated *mass* of fuel needed to match the mass of air into the engine.</t>
  </si>
  <si>
    <t>Calculated volume flow of fuel.</t>
  </si>
  <si>
    <t>Estimated horsepower is based on how efficiently the engine is using the air and fuel being fed into it.  Lower BSFC means more horsepower per lb of fuel added.</t>
  </si>
  <si>
    <t>The horsepower the turbine has to deliver to the compressor wheel to move the calculated amount of air at the desired boost level.  In a supercharged application, this is the power that must be sucked off the crank to run the supercharger.  In a turbo application, this power is sucked out of the exhaust by the turbine wheel.</t>
  </si>
  <si>
    <t>My best estimate.  If you think you have a better number, use it!</t>
  </si>
  <si>
    <t>Mass air flow + mass fuel flow = exhaust mass flow.</t>
  </si>
  <si>
    <t>Exhaust Gas Temperature (pre turbine).  If you've measured it, that goes here.</t>
  </si>
  <si>
    <t>What percentage of the exhaust flow is wastegated?  High A/R housings and high flow turbine wheels get a lower % than small housings and wheels.</t>
  </si>
  <si>
    <t>Exhaust flow through the turbine; power to drive the compressor is recovered from this flow.</t>
  </si>
  <si>
    <t>Similar to the adaibatic efficiency for the compressor, you'd get this number from a turbine curve (as opposed to a compressor curve).  Good luck finding one!</t>
  </si>
  <si>
    <t>Some percentage of the power extracted from the exhaust is lost to overcoming friction and such.  What perentage of the power extracted actually makes it to the compressor?</t>
  </si>
  <si>
    <t>Same as the hp req'd by the compressor.</t>
  </si>
  <si>
    <t>Similar to the pressure ratio for the compressor; this is the inlet pressure / outlet pressure.  Tells us what pressure ratio across the turbine we need to get the power we want.</t>
  </si>
  <si>
    <t>The exhaust temperature drops as it expands across the turbine and the power is extracted from it.  This is the theortical temperature of the exhaust coming out.</t>
  </si>
  <si>
    <t>What is the pressure at the turbine outlet?  Bigger exhaust pipes, bigger down pipes, Terry Houston style elbows, and removing catalytic converters all make this pressure smaller.</t>
  </si>
  <si>
    <t>Some people like to know the ratio of turbine inlet pressure to boost pressure.</t>
  </si>
  <si>
    <t>Pipe size from the intercooler to the intake manifold.</t>
  </si>
  <si>
    <t>Pipe size going to the intercooler.</t>
  </si>
  <si>
    <t>Pipe size going to the compressor.</t>
  </si>
  <si>
    <t>Item</t>
  </si>
  <si>
    <t>Description</t>
  </si>
  <si>
    <t>This section will calculate the air flow into the engine for a given set of conditions: a given rpm, boost pressure, VE, cid, etc…  The air flow at this one point can be used to help size a comperssor, figure out the fuel needed, and more.</t>
  </si>
  <si>
    <t>Enter your estimated discharge pressure.  This is the desired boost pressure plus intercooler, throttle body, and piping pressure losses.</t>
  </si>
  <si>
    <t>This section is not very useful, except as a novelty.  There's just too many unknowns.  But you can play with it and get a feel for how the turbine side works, and what the important variables are, even if the absolute numbers aren't correct.  Note the effect of higher turbine outlet pressures, higher wastegate %, and lower EGT on the required backpressure!</t>
  </si>
  <si>
    <t>Don't worry about it. :)</t>
  </si>
  <si>
    <t>How fast is the air moving through those pipes?  This will tell you!  In general, I'd like to keep things under 100 ft/sec, but I wouldn't worry much until you hit 175-200 ft/sec.</t>
  </si>
  <si>
    <t>General Notes:</t>
  </si>
  <si>
    <t>2. This spreadsheet has the protection turned on, but it is not password protected.  I just did this to keep folks from accidentally typing over the equations.  If you feel the need to change something, just go to Tools --&gt; Protection --&gt; Unprotect Sheet</t>
  </si>
  <si>
    <t>The values in Blue are inputs that may be changed.</t>
  </si>
  <si>
    <t>The values in Black are calculated outputs.</t>
  </si>
  <si>
    <t>psig, turbine inlet pressure / exhaust backpressure</t>
  </si>
  <si>
    <t>Calculated required turbine inlet pressure to get the power we need for the compressor.  This is the exhaust pressure in the headers that the engine is working against.  Higher backpressures reduce power.</t>
  </si>
  <si>
    <t>Last Rev: 06/12/01, by J.D. Estill</t>
  </si>
  <si>
    <t>1. Last Rev: 06/12/01, by J.D. Estill</t>
  </si>
  <si>
    <t>3. Revision - formula in cell B52 was mistakenly inverted.</t>
  </si>
  <si>
    <t>4. Revision - found conversions to absolute pressure that used sea level pressure instead of local atm pressure in cells B32 and B95.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</si>
</sst>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
    <numFmt numFmtId="167" formatCode="0.0%"/>
    <numFmt numFmtId="168" formatCode="0.0000"/>
  </numFmts>
  <fonts count="7">
    <font>
      <sz val="10"/>
      <name val="Courier New"/>
      <family val="0"/>
    </font>
    <font>
      <sz val="12"/>
      <name val="Courier"/>
      <family val="0"/>
    </font>
    <font>
      <b/>
      <u val="single"/>
      <sz val="10"/>
      <name val="Courier New"/>
      <family val="3"/>
    </font>
    <font>
      <sz val="10"/>
      <color indexed="12"/>
      <name val="Courier New"/>
      <family val="3"/>
    </font>
    <font>
      <u val="single"/>
      <sz val="10"/>
      <name val="Courier New"/>
      <family val="3"/>
    </font>
    <font>
      <sz val="10"/>
      <color indexed="8"/>
      <name val="Courier New"/>
      <family val="3"/>
    </font>
    <font>
      <b/>
      <sz val="10"/>
      <name val="Courier New"/>
      <family val="3"/>
    </font>
  </fonts>
  <fills count="2">
    <fill>
      <patternFill/>
    </fill>
    <fill>
      <patternFill patternType="gray125"/>
    </fill>
  </fills>
  <borders count="2">
    <border>
      <left/>
      <right/>
      <top/>
      <bottom/>
      <diagonal/>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52">
    <xf numFmtId="0" fontId="0" fillId="0" borderId="0" xfId="0" applyAlignment="1">
      <alignment/>
    </xf>
    <xf numFmtId="0" fontId="0" fillId="0" borderId="0" xfId="19" applyFont="1" applyAlignment="1">
      <alignment/>
      <protection/>
    </xf>
    <xf numFmtId="0" fontId="0" fillId="0" borderId="0" xfId="19" applyFont="1">
      <alignment/>
      <protection/>
    </xf>
    <xf numFmtId="0" fontId="0" fillId="0" borderId="0" xfId="0" applyFont="1" applyAlignment="1">
      <alignment/>
    </xf>
    <xf numFmtId="0" fontId="2" fillId="0" borderId="0" xfId="19" applyFont="1" applyAlignment="1">
      <alignment/>
      <protection/>
    </xf>
    <xf numFmtId="0" fontId="0" fillId="0" borderId="0" xfId="19" applyFont="1" applyAlignment="1" applyProtection="1">
      <alignment/>
      <protection/>
    </xf>
    <xf numFmtId="164" fontId="3" fillId="0" borderId="0" xfId="19" applyNumberFormat="1" applyFont="1" applyAlignment="1" applyProtection="1">
      <alignment/>
      <protection/>
    </xf>
    <xf numFmtId="2" fontId="0" fillId="0" borderId="0" xfId="19" applyNumberFormat="1" applyFont="1" applyAlignment="1">
      <alignment/>
      <protection/>
    </xf>
    <xf numFmtId="1" fontId="3" fillId="0" borderId="0" xfId="19" applyNumberFormat="1" applyFont="1" applyAlignment="1" applyProtection="1">
      <alignment/>
      <protection locked="0"/>
    </xf>
    <xf numFmtId="165" fontId="3" fillId="0" borderId="0" xfId="19" applyNumberFormat="1" applyFont="1" applyAlignment="1" applyProtection="1">
      <alignment/>
      <protection locked="0"/>
    </xf>
    <xf numFmtId="9" fontId="3" fillId="0" borderId="0" xfId="19" applyNumberFormat="1" applyFont="1" applyAlignment="1" applyProtection="1">
      <alignment/>
      <protection locked="0"/>
    </xf>
    <xf numFmtId="2" fontId="0" fillId="0" borderId="0" xfId="19" applyNumberFormat="1" applyFont="1" applyAlignment="1" applyProtection="1">
      <alignment/>
      <protection/>
    </xf>
    <xf numFmtId="0" fontId="3" fillId="0" borderId="0" xfId="0" applyFont="1" applyAlignment="1" applyProtection="1">
      <alignment/>
      <protection locked="0"/>
    </xf>
    <xf numFmtId="2" fontId="0" fillId="0" borderId="0" xfId="0" applyNumberFormat="1" applyFont="1" applyAlignment="1">
      <alignment/>
    </xf>
    <xf numFmtId="0" fontId="4" fillId="0" borderId="0" xfId="19" applyFont="1">
      <alignment/>
      <protection/>
    </xf>
    <xf numFmtId="164" fontId="0" fillId="0" borderId="0" xfId="19" applyNumberFormat="1" applyFont="1" applyAlignment="1" applyProtection="1">
      <alignment/>
      <protection/>
    </xf>
    <xf numFmtId="0" fontId="5" fillId="0" borderId="0" xfId="19" applyFont="1" applyFill="1" applyAlignment="1" applyProtection="1">
      <alignment horizontal="right"/>
      <protection/>
    </xf>
    <xf numFmtId="0" fontId="5" fillId="0" borderId="0" xfId="19" applyFont="1" applyFill="1" applyAlignment="1" applyProtection="1">
      <alignment horizontal="left"/>
      <protection/>
    </xf>
    <xf numFmtId="166" fontId="0" fillId="0" borderId="0" xfId="19" applyNumberFormat="1" applyFont="1" applyAlignment="1" applyProtection="1" quotePrefix="1">
      <alignment horizontal="center"/>
      <protection/>
    </xf>
    <xf numFmtId="165" fontId="0" fillId="0" borderId="0" xfId="19" applyNumberFormat="1" applyFont="1" applyAlignment="1" applyProtection="1">
      <alignment/>
      <protection/>
    </xf>
    <xf numFmtId="166" fontId="0" fillId="0" borderId="0" xfId="19" applyNumberFormat="1" applyFont="1" applyAlignment="1" applyProtection="1">
      <alignment/>
      <protection/>
    </xf>
    <xf numFmtId="0" fontId="5" fillId="0" borderId="0" xfId="19" applyFont="1" applyFill="1" applyAlignment="1" applyProtection="1">
      <alignment/>
      <protection/>
    </xf>
    <xf numFmtId="0" fontId="5" fillId="0" borderId="0" xfId="19" applyFont="1" applyFill="1" applyAlignment="1">
      <alignment/>
      <protection/>
    </xf>
    <xf numFmtId="1" fontId="3" fillId="0" borderId="0" xfId="19" applyNumberFormat="1" applyFont="1" applyProtection="1">
      <alignment/>
      <protection locked="0"/>
    </xf>
    <xf numFmtId="9" fontId="3" fillId="0" borderId="0" xfId="19" applyNumberFormat="1" applyFont="1" applyProtection="1">
      <alignment/>
      <protection locked="0"/>
    </xf>
    <xf numFmtId="165" fontId="3" fillId="0" borderId="0" xfId="19" applyNumberFormat="1" applyFont="1" applyProtection="1">
      <alignment/>
      <protection locked="0"/>
    </xf>
    <xf numFmtId="0" fontId="0" fillId="0" borderId="0" xfId="19" applyFont="1" quotePrefix="1">
      <alignment/>
      <protection/>
    </xf>
    <xf numFmtId="164" fontId="3" fillId="0" borderId="0" xfId="19" applyNumberFormat="1" applyFont="1" applyProtection="1">
      <alignment/>
      <protection locked="0"/>
    </xf>
    <xf numFmtId="167" fontId="0" fillId="0" borderId="0" xfId="19" applyNumberFormat="1" applyFont="1">
      <alignment/>
      <protection/>
    </xf>
    <xf numFmtId="2" fontId="0" fillId="0" borderId="0" xfId="19" applyNumberFormat="1" applyFont="1">
      <alignment/>
      <protection/>
    </xf>
    <xf numFmtId="165" fontId="0" fillId="0" borderId="0" xfId="19" applyNumberFormat="1" applyFont="1">
      <alignment/>
      <protection/>
    </xf>
    <xf numFmtId="165" fontId="0" fillId="0" borderId="0" xfId="19" applyNumberFormat="1" applyFont="1" quotePrefix="1">
      <alignment/>
      <protection/>
    </xf>
    <xf numFmtId="168" fontId="0" fillId="0" borderId="0" xfId="19" applyNumberFormat="1" applyFont="1" applyAlignment="1">
      <alignment/>
      <protection/>
    </xf>
    <xf numFmtId="3" fontId="0" fillId="0" borderId="0" xfId="19" applyNumberFormat="1" applyFont="1" applyAlignment="1">
      <alignment/>
      <protection/>
    </xf>
    <xf numFmtId="165" fontId="0" fillId="0" borderId="0" xfId="19" applyNumberFormat="1" applyFont="1" applyAlignment="1">
      <alignment/>
      <protection/>
    </xf>
    <xf numFmtId="167" fontId="3" fillId="0" borderId="0" xfId="19" applyNumberFormat="1" applyFont="1" applyProtection="1">
      <alignment/>
      <protection locked="0"/>
    </xf>
    <xf numFmtId="1" fontId="0" fillId="0" borderId="0" xfId="19" applyNumberFormat="1" applyFont="1" quotePrefix="1">
      <alignment/>
      <protection/>
    </xf>
    <xf numFmtId="2" fontId="0" fillId="0" borderId="0" xfId="19" applyNumberFormat="1" applyFont="1" quotePrefix="1">
      <alignment/>
      <protection/>
    </xf>
    <xf numFmtId="0" fontId="6" fillId="0" borderId="1" xfId="19" applyFont="1" applyBorder="1" applyAlignment="1">
      <alignment/>
      <protection/>
    </xf>
    <xf numFmtId="0" fontId="0" fillId="0" borderId="1" xfId="19" applyFont="1" applyBorder="1" applyAlignment="1">
      <alignment/>
      <protection/>
    </xf>
    <xf numFmtId="0" fontId="0" fillId="0" borderId="1" xfId="19" applyFont="1" applyBorder="1">
      <alignment/>
      <protection/>
    </xf>
    <xf numFmtId="0" fontId="5" fillId="0" borderId="0" xfId="19" applyFont="1" applyFill="1" applyBorder="1" applyAlignment="1">
      <alignment/>
      <protection/>
    </xf>
    <xf numFmtId="2" fontId="0" fillId="0" borderId="0" xfId="19" applyNumberFormat="1" applyFont="1" applyBorder="1" applyAlignment="1">
      <alignment/>
      <protection/>
    </xf>
    <xf numFmtId="0" fontId="0" fillId="0" borderId="0" xfId="19" applyFont="1" applyBorder="1" applyAlignment="1">
      <alignment/>
      <protection/>
    </xf>
    <xf numFmtId="0" fontId="0" fillId="0" borderId="0" xfId="19" applyFont="1" applyBorder="1">
      <alignment/>
      <protection/>
    </xf>
    <xf numFmtId="165" fontId="0" fillId="0" borderId="0" xfId="19" applyNumberFormat="1" applyFont="1" applyBorder="1" quotePrefix="1">
      <alignment/>
      <protection/>
    </xf>
    <xf numFmtId="0" fontId="0" fillId="0" borderId="0" xfId="0" applyFont="1" applyBorder="1" applyAlignment="1">
      <alignment/>
    </xf>
    <xf numFmtId="0" fontId="0" fillId="0" borderId="0" xfId="0" applyAlignment="1">
      <alignment wrapText="1"/>
    </xf>
    <xf numFmtId="0" fontId="6" fillId="0" borderId="0" xfId="0" applyFont="1" applyAlignment="1">
      <alignment/>
    </xf>
    <xf numFmtId="0" fontId="2" fillId="0" borderId="0" xfId="0" applyFont="1" applyAlignment="1">
      <alignment/>
    </xf>
    <xf numFmtId="2" fontId="0" fillId="0" borderId="0" xfId="19" applyNumberFormat="1" applyFont="1" applyProtection="1">
      <alignment/>
      <protection/>
    </xf>
    <xf numFmtId="164" fontId="0" fillId="0" borderId="0" xfId="19" applyNumberFormat="1" applyFont="1" applyProtection="1">
      <alignment/>
      <protection/>
    </xf>
  </cellXfs>
  <cellStyles count="7">
    <cellStyle name="Normal" xfId="0"/>
    <cellStyle name="Comma" xfId="15"/>
    <cellStyle name="Comma [0]" xfId="16"/>
    <cellStyle name="Currency" xfId="17"/>
    <cellStyle name="Currency [0]" xfId="18"/>
    <cellStyle name="Normal_turbo flow"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6"/>
  <sheetViews>
    <sheetView showGridLines="0" tabSelected="1" workbookViewId="0" topLeftCell="A1">
      <selection activeCell="B14" sqref="B14"/>
    </sheetView>
  </sheetViews>
  <sheetFormatPr defaultColWidth="9.00390625" defaultRowHeight="13.5"/>
  <cols>
    <col min="1" max="1" width="24.625" style="3" customWidth="1"/>
    <col min="2" max="16384" width="9.00390625" style="3" customWidth="1"/>
  </cols>
  <sheetData>
    <row r="1" spans="1:7" ht="13.5">
      <c r="A1" s="1" t="s">
        <v>166</v>
      </c>
      <c r="B1" s="1"/>
      <c r="C1" s="1"/>
      <c r="D1" s="1"/>
      <c r="E1" s="2"/>
      <c r="F1" s="2"/>
      <c r="G1" s="2"/>
    </row>
    <row r="2" spans="1:7" ht="13.5">
      <c r="A2" s="1"/>
      <c r="B2" s="1"/>
      <c r="C2" s="1"/>
      <c r="D2" s="1"/>
      <c r="E2" s="2"/>
      <c r="F2" s="2"/>
      <c r="G2" s="2"/>
    </row>
    <row r="3" spans="1:7" ht="13.5">
      <c r="A3" s="1" t="s">
        <v>162</v>
      </c>
      <c r="B3" s="1"/>
      <c r="C3" s="1"/>
      <c r="D3" s="1"/>
      <c r="E3" s="2"/>
      <c r="F3" s="2"/>
      <c r="G3" s="2"/>
    </row>
    <row r="4" spans="1:7" ht="13.5">
      <c r="A4" s="1" t="s">
        <v>163</v>
      </c>
      <c r="B4" s="1"/>
      <c r="C4" s="1"/>
      <c r="D4" s="1"/>
      <c r="E4" s="2"/>
      <c r="F4" s="2"/>
      <c r="G4" s="2"/>
    </row>
    <row r="5" spans="1:7" ht="14.25" thickBot="1">
      <c r="A5" s="1"/>
      <c r="B5" s="1"/>
      <c r="C5" s="1"/>
      <c r="D5" s="1"/>
      <c r="E5" s="2"/>
      <c r="F5" s="2"/>
      <c r="G5" s="2"/>
    </row>
    <row r="6" spans="1:7" ht="14.25" thickBot="1">
      <c r="A6" s="38" t="s">
        <v>100</v>
      </c>
      <c r="B6" s="39"/>
      <c r="C6" s="39"/>
      <c r="D6" s="39"/>
      <c r="E6" s="40"/>
      <c r="F6" s="40"/>
      <c r="G6" s="40"/>
    </row>
    <row r="7" spans="1:7" ht="13.5">
      <c r="A7" s="1"/>
      <c r="B7" s="1"/>
      <c r="C7" s="1"/>
      <c r="D7" s="1"/>
      <c r="E7" s="2"/>
      <c r="F7" s="2"/>
      <c r="G7" s="2"/>
    </row>
    <row r="8" spans="1:7" ht="13.5">
      <c r="A8" s="4" t="s">
        <v>0</v>
      </c>
      <c r="B8" s="1"/>
      <c r="C8" s="1"/>
      <c r="D8" s="1"/>
      <c r="E8" s="2"/>
      <c r="F8" s="2"/>
      <c r="G8" s="2"/>
    </row>
    <row r="9" spans="1:7" ht="13.5">
      <c r="A9" s="5" t="s">
        <v>1</v>
      </c>
      <c r="B9" s="11">
        <v>29</v>
      </c>
      <c r="C9" s="1"/>
      <c r="D9" s="1"/>
      <c r="E9" s="2"/>
      <c r="F9" s="2"/>
      <c r="G9" s="2"/>
    </row>
    <row r="10" spans="1:7" ht="13.5">
      <c r="A10" s="5" t="s">
        <v>2</v>
      </c>
      <c r="B10" s="11">
        <v>1</v>
      </c>
      <c r="C10" s="1"/>
      <c r="D10" s="1"/>
      <c r="E10" s="2"/>
      <c r="F10" s="2"/>
      <c r="G10" s="2"/>
    </row>
    <row r="11" spans="1:7" ht="13.5">
      <c r="A11" s="5" t="s">
        <v>3</v>
      </c>
      <c r="B11" s="15">
        <v>0.288</v>
      </c>
      <c r="C11" s="1"/>
      <c r="D11" s="1"/>
      <c r="E11" s="2"/>
      <c r="F11" s="2"/>
      <c r="G11" s="2"/>
    </row>
    <row r="12" spans="1:7" ht="13.5">
      <c r="A12" s="5"/>
      <c r="B12" s="6"/>
      <c r="C12" s="1"/>
      <c r="D12" s="1"/>
      <c r="E12" s="2"/>
      <c r="F12" s="2"/>
      <c r="G12" s="2"/>
    </row>
    <row r="13" spans="1:7" ht="13.5">
      <c r="A13" s="4" t="s">
        <v>4</v>
      </c>
      <c r="B13" s="7"/>
      <c r="C13" s="1"/>
      <c r="D13" s="1"/>
      <c r="E13" s="2"/>
      <c r="F13" s="2"/>
      <c r="G13" s="2"/>
    </row>
    <row r="14" spans="1:7" ht="13.5">
      <c r="A14" s="5" t="s">
        <v>5</v>
      </c>
      <c r="B14" s="8">
        <v>5000</v>
      </c>
      <c r="C14" s="5" t="s">
        <v>6</v>
      </c>
      <c r="D14" s="1"/>
      <c r="E14" s="2"/>
      <c r="F14" s="2"/>
      <c r="G14" s="2"/>
    </row>
    <row r="15" spans="1:7" ht="13.5">
      <c r="A15" s="5" t="s">
        <v>7</v>
      </c>
      <c r="B15" s="9">
        <v>231</v>
      </c>
      <c r="C15" s="5" t="s">
        <v>8</v>
      </c>
      <c r="D15" s="1"/>
      <c r="E15" s="2"/>
      <c r="F15" s="2"/>
      <c r="G15" s="2"/>
    </row>
    <row r="16" spans="1:7" ht="13.5">
      <c r="A16" s="5" t="s">
        <v>9</v>
      </c>
      <c r="B16" s="10">
        <v>0.75</v>
      </c>
      <c r="C16" s="1"/>
      <c r="D16" s="1"/>
      <c r="E16" s="2"/>
      <c r="F16" s="2"/>
      <c r="G16" s="2"/>
    </row>
    <row r="17" spans="1:7" ht="13.5">
      <c r="A17" s="5" t="s">
        <v>10</v>
      </c>
      <c r="B17" s="8">
        <v>1</v>
      </c>
      <c r="C17" s="1"/>
      <c r="D17" s="1"/>
      <c r="E17" s="2"/>
      <c r="F17" s="2"/>
      <c r="G17" s="2"/>
    </row>
    <row r="18" spans="1:7" ht="13.5">
      <c r="A18" s="5" t="s">
        <v>11</v>
      </c>
      <c r="B18" s="10">
        <v>0.65</v>
      </c>
      <c r="C18" s="1"/>
      <c r="D18" s="1"/>
      <c r="E18" s="2"/>
      <c r="F18" s="2"/>
      <c r="G18" s="2"/>
    </row>
    <row r="19" spans="1:7" ht="13.5">
      <c r="A19" s="2"/>
      <c r="B19" s="2"/>
      <c r="C19" s="1"/>
      <c r="D19" s="1"/>
      <c r="E19" s="2"/>
      <c r="F19" s="2"/>
      <c r="G19" s="2"/>
    </row>
    <row r="20" spans="1:7" ht="13.5">
      <c r="A20" s="4" t="s">
        <v>12</v>
      </c>
      <c r="B20" s="11"/>
      <c r="C20" s="1"/>
      <c r="D20" s="1"/>
      <c r="E20" s="2"/>
      <c r="F20" s="2"/>
      <c r="G20" s="2"/>
    </row>
    <row r="21" spans="1:7" ht="13.5">
      <c r="A21" s="3" t="s">
        <v>13</v>
      </c>
      <c r="B21" s="12">
        <v>29.92</v>
      </c>
      <c r="C21" s="3" t="s">
        <v>14</v>
      </c>
      <c r="D21" s="13">
        <f>B21*14.696/29.92136413665</f>
        <v>14.69532999872209</v>
      </c>
      <c r="E21" s="3" t="s">
        <v>15</v>
      </c>
      <c r="F21" s="2"/>
      <c r="G21" s="2"/>
    </row>
    <row r="22" spans="1:7" ht="13.5">
      <c r="A22" s="3" t="s">
        <v>16</v>
      </c>
      <c r="B22" s="12">
        <v>65</v>
      </c>
      <c r="C22" s="3" t="s">
        <v>17</v>
      </c>
      <c r="F22" s="2"/>
      <c r="G22" s="2"/>
    </row>
    <row r="23" spans="1:4" ht="13.5">
      <c r="A23" s="2"/>
      <c r="B23" s="2"/>
      <c r="C23" s="2"/>
      <c r="D23" s="2"/>
    </row>
    <row r="24" spans="1:7" ht="13.5">
      <c r="A24" s="4" t="s">
        <v>18</v>
      </c>
      <c r="B24" s="11"/>
      <c r="C24" s="1"/>
      <c r="D24" s="1"/>
      <c r="E24" s="2"/>
      <c r="F24" s="2"/>
      <c r="G24" s="2"/>
    </row>
    <row r="25" spans="1:7" ht="13.5">
      <c r="A25" s="5" t="s">
        <v>19</v>
      </c>
      <c r="B25" s="9">
        <v>2</v>
      </c>
      <c r="C25" s="1" t="s">
        <v>14</v>
      </c>
      <c r="D25" s="1"/>
      <c r="E25" s="2"/>
      <c r="F25" s="2"/>
      <c r="G25" s="2"/>
    </row>
    <row r="26" spans="1:7" ht="13.5">
      <c r="A26" s="5" t="s">
        <v>20</v>
      </c>
      <c r="B26" s="11">
        <f>(B21-B25)*14.696/29.921</f>
        <v>13.713188730323184</v>
      </c>
      <c r="C26" s="5" t="s">
        <v>15</v>
      </c>
      <c r="D26" s="1"/>
      <c r="E26" s="2"/>
      <c r="F26" s="14"/>
      <c r="G26" s="2"/>
    </row>
    <row r="27" spans="1:7" ht="13.5">
      <c r="A27" s="5" t="s">
        <v>21</v>
      </c>
      <c r="B27" s="15">
        <f>B26*B9/(10.73*(459.6+B22)*B10)</f>
        <v>0.07064939428920455</v>
      </c>
      <c r="C27" s="5" t="s">
        <v>22</v>
      </c>
      <c r="D27" s="1"/>
      <c r="E27" s="2"/>
      <c r="F27" s="16"/>
      <c r="G27" s="17"/>
    </row>
    <row r="28" spans="1:7" ht="13.5">
      <c r="A28" s="1"/>
      <c r="B28" s="7"/>
      <c r="C28" s="1"/>
      <c r="D28" s="1"/>
      <c r="E28" s="2"/>
      <c r="F28" s="2"/>
      <c r="G28" s="18"/>
    </row>
    <row r="29" spans="1:7" ht="13.5">
      <c r="A29" s="4" t="s">
        <v>23</v>
      </c>
      <c r="B29" s="7"/>
      <c r="C29" s="1"/>
      <c r="D29" s="1"/>
      <c r="E29" s="2"/>
      <c r="F29" s="2"/>
      <c r="G29" s="2"/>
    </row>
    <row r="30" spans="1:7" ht="13.5">
      <c r="A30" s="5" t="s">
        <v>24</v>
      </c>
      <c r="B30" s="9">
        <v>22</v>
      </c>
      <c r="C30" s="5" t="s">
        <v>25</v>
      </c>
      <c r="D30" s="1"/>
      <c r="E30" s="2"/>
      <c r="F30" s="2"/>
      <c r="G30" s="2"/>
    </row>
    <row r="31" spans="1:7" ht="13.5">
      <c r="A31" s="5" t="s">
        <v>26</v>
      </c>
      <c r="B31" s="19">
        <f>(B22+459.6)*(B32^B11-1)/B18+B22</f>
        <v>329.5089136030366</v>
      </c>
      <c r="C31" s="5" t="s">
        <v>17</v>
      </c>
      <c r="D31" s="20"/>
      <c r="E31" s="2"/>
      <c r="F31" s="2"/>
      <c r="G31" s="2"/>
    </row>
    <row r="32" spans="1:7" ht="13.5">
      <c r="A32" s="5" t="s">
        <v>27</v>
      </c>
      <c r="B32" s="11">
        <f>(B30+D21)/B26</f>
        <v>2.6759151879518597</v>
      </c>
      <c r="C32" s="1"/>
      <c r="D32" s="1"/>
      <c r="E32" s="2"/>
      <c r="F32" s="2"/>
      <c r="G32" s="2"/>
    </row>
    <row r="33" spans="1:7" ht="13.5">
      <c r="A33" s="21" t="s">
        <v>28</v>
      </c>
      <c r="B33" s="15">
        <f>(B30+D21)*$B$9/(10.73*(459.6+B31)*$B$10)</f>
        <v>0.12568172257905172</v>
      </c>
      <c r="C33" s="5" t="s">
        <v>22</v>
      </c>
      <c r="D33" s="1"/>
      <c r="E33" s="2"/>
      <c r="F33" s="2"/>
      <c r="G33" s="2"/>
    </row>
    <row r="34" spans="1:7" ht="13.5">
      <c r="A34" s="1"/>
      <c r="B34" s="7"/>
      <c r="C34" s="1"/>
      <c r="D34" s="1"/>
      <c r="E34" s="2"/>
      <c r="F34" s="2"/>
      <c r="G34" s="2"/>
    </row>
    <row r="35" spans="1:7" ht="13.5">
      <c r="A35" s="4" t="s">
        <v>29</v>
      </c>
      <c r="B35" s="7"/>
      <c r="C35" s="1"/>
      <c r="D35" s="1"/>
      <c r="E35" s="2"/>
      <c r="F35" s="2"/>
      <c r="G35" s="2"/>
    </row>
    <row r="36" spans="1:7" ht="13.5">
      <c r="A36" s="5" t="s">
        <v>30</v>
      </c>
      <c r="B36" s="9">
        <v>19</v>
      </c>
      <c r="C36" s="5" t="s">
        <v>25</v>
      </c>
      <c r="D36" s="1"/>
      <c r="E36" s="2"/>
      <c r="F36" s="2"/>
      <c r="G36" s="2"/>
    </row>
    <row r="37" spans="1:7" ht="13.5">
      <c r="A37" s="5" t="s">
        <v>31</v>
      </c>
      <c r="B37" s="9">
        <v>110</v>
      </c>
      <c r="C37" s="5" t="s">
        <v>17</v>
      </c>
      <c r="D37" s="1"/>
      <c r="E37" s="2"/>
      <c r="F37" s="2"/>
      <c r="G37" s="2"/>
    </row>
    <row r="38" spans="1:7" ht="13.5">
      <c r="A38" s="21" t="s">
        <v>32</v>
      </c>
      <c r="B38" s="15">
        <f>(B36+D21)*$B$9/(10.73*(459.6+B37)*$B$10)</f>
        <v>0.15988142460675145</v>
      </c>
      <c r="C38" s="5" t="s">
        <v>22</v>
      </c>
      <c r="D38" s="1"/>
      <c r="E38" s="2"/>
      <c r="F38" s="2"/>
      <c r="G38" s="2"/>
    </row>
    <row r="39" spans="1:7" ht="13.5">
      <c r="A39" s="21" t="s">
        <v>33</v>
      </c>
      <c r="B39" s="19">
        <f>B30-B36</f>
        <v>3</v>
      </c>
      <c r="C39" s="5" t="s">
        <v>34</v>
      </c>
      <c r="D39" s="1"/>
      <c r="E39" s="2"/>
      <c r="F39" s="2"/>
      <c r="G39" s="2"/>
    </row>
    <row r="40" spans="1:7" ht="13.5">
      <c r="A40" s="1"/>
      <c r="B40" s="7"/>
      <c r="C40" s="1"/>
      <c r="D40" s="1"/>
      <c r="E40" s="2"/>
      <c r="F40" s="2"/>
      <c r="G40" s="2"/>
    </row>
    <row r="41" spans="1:7" ht="13.5">
      <c r="A41" s="4" t="s">
        <v>35</v>
      </c>
      <c r="B41" s="7"/>
      <c r="C41" s="1"/>
      <c r="D41" s="1"/>
      <c r="E41" s="2"/>
      <c r="F41" s="2"/>
      <c r="G41" s="2"/>
    </row>
    <row r="42" spans="1:7" ht="13.5">
      <c r="A42" s="5" t="s">
        <v>36</v>
      </c>
      <c r="B42" s="19">
        <f>B15/2/1728*B38*B14/B17</f>
        <v>53.43259416111051</v>
      </c>
      <c r="C42" s="5" t="s">
        <v>37</v>
      </c>
      <c r="D42" s="1"/>
      <c r="E42" s="2"/>
      <c r="F42" s="2"/>
      <c r="G42" s="2"/>
    </row>
    <row r="43" spans="1:7" ht="13.5">
      <c r="A43" s="5" t="s">
        <v>36</v>
      </c>
      <c r="B43" s="19">
        <f>B42*B16</f>
        <v>40.07444562083288</v>
      </c>
      <c r="C43" s="5" t="s">
        <v>38</v>
      </c>
      <c r="D43" s="1"/>
      <c r="E43" s="2"/>
      <c r="F43" s="2"/>
      <c r="G43" s="2"/>
    </row>
    <row r="44" spans="1:7" ht="13.5">
      <c r="A44" s="5" t="s">
        <v>36</v>
      </c>
      <c r="B44" s="19">
        <f>B43/60*453.6</f>
        <v>302.96280889349663</v>
      </c>
      <c r="C44" s="1" t="s">
        <v>39</v>
      </c>
      <c r="D44" s="1"/>
      <c r="E44" s="2"/>
      <c r="F44" s="2"/>
      <c r="G44" s="2"/>
    </row>
    <row r="45" spans="1:7" ht="13.5">
      <c r="A45" s="5" t="s">
        <v>40</v>
      </c>
      <c r="B45" s="19">
        <f>B44*B17</f>
        <v>302.96280889349663</v>
      </c>
      <c r="C45" s="1" t="s">
        <v>39</v>
      </c>
      <c r="D45" s="1"/>
      <c r="E45" s="2"/>
      <c r="F45" s="2"/>
      <c r="G45" s="2"/>
    </row>
    <row r="46" spans="1:7" ht="13.5">
      <c r="A46" s="1"/>
      <c r="B46" s="7"/>
      <c r="C46" s="1"/>
      <c r="D46" s="1"/>
      <c r="E46" s="2"/>
      <c r="F46" s="2"/>
      <c r="G46" s="2"/>
    </row>
    <row r="47" spans="1:7" ht="13.5">
      <c r="A47" s="5" t="s">
        <v>36</v>
      </c>
      <c r="B47" s="19">
        <f>$B$43/B27</f>
        <v>567.2298541837093</v>
      </c>
      <c r="C47" s="5" t="s">
        <v>41</v>
      </c>
      <c r="D47" s="1"/>
      <c r="E47" s="2"/>
      <c r="F47" s="2"/>
      <c r="G47" s="2"/>
    </row>
    <row r="48" spans="1:7" ht="13.5">
      <c r="A48" s="5" t="s">
        <v>36</v>
      </c>
      <c r="B48" s="19">
        <f>$B$43/B33</f>
        <v>318.85659106579095</v>
      </c>
      <c r="C48" s="5" t="s">
        <v>42</v>
      </c>
      <c r="D48" s="1"/>
      <c r="E48" s="2"/>
      <c r="F48" s="2"/>
      <c r="G48" s="2"/>
    </row>
    <row r="49" spans="1:7" ht="13.5">
      <c r="A49" s="5"/>
      <c r="B49" s="19"/>
      <c r="C49" s="5"/>
      <c r="D49" s="1"/>
      <c r="E49" s="2"/>
      <c r="F49" s="2"/>
      <c r="G49" s="2"/>
    </row>
    <row r="50" spans="1:7" ht="13.5">
      <c r="A50" s="4" t="s">
        <v>88</v>
      </c>
      <c r="B50" s="7"/>
      <c r="C50" s="1"/>
      <c r="D50" s="1"/>
      <c r="E50" s="2"/>
      <c r="F50" s="2"/>
      <c r="G50" s="2"/>
    </row>
    <row r="51" spans="1:7" ht="13.5">
      <c r="A51" s="1" t="s">
        <v>89</v>
      </c>
      <c r="B51" s="15">
        <f>B26/13.949</f>
        <v>0.9830947544858545</v>
      </c>
      <c r="C51" s="1"/>
      <c r="D51" s="1"/>
      <c r="E51" s="2"/>
      <c r="F51" s="2"/>
      <c r="G51" s="2"/>
    </row>
    <row r="52" spans="1:7" ht="13.5">
      <c r="A52" s="1" t="s">
        <v>90</v>
      </c>
      <c r="B52" s="15">
        <f>SQRT((B22+459.6)/(85+459.6))</f>
        <v>0.9814661475320364</v>
      </c>
      <c r="C52" s="1"/>
      <c r="D52" s="1"/>
      <c r="E52" s="2"/>
      <c r="F52" s="2"/>
      <c r="G52" s="2"/>
    </row>
    <row r="53" spans="1:7" ht="13.5">
      <c r="A53" s="22" t="s">
        <v>43</v>
      </c>
      <c r="B53" s="19">
        <f>B43*B52/B51</f>
        <v>40.00805779757304</v>
      </c>
      <c r="C53" s="1" t="s">
        <v>44</v>
      </c>
      <c r="D53" s="1"/>
      <c r="E53" s="2"/>
      <c r="F53" s="2"/>
      <c r="G53" s="2"/>
    </row>
    <row r="54" spans="1:7" ht="13.5">
      <c r="A54" s="1" t="s">
        <v>45</v>
      </c>
      <c r="B54" s="11">
        <f>B32</f>
        <v>2.6759151879518597</v>
      </c>
      <c r="C54" s="1"/>
      <c r="D54" s="1"/>
      <c r="E54" s="2"/>
      <c r="F54" s="2"/>
      <c r="G54" s="2"/>
    </row>
    <row r="55" spans="1:7" ht="14.25" thickBot="1">
      <c r="A55" s="1"/>
      <c r="B55" s="11"/>
      <c r="C55" s="1"/>
      <c r="D55" s="1"/>
      <c r="E55" s="2"/>
      <c r="F55" s="2"/>
      <c r="G55" s="2"/>
    </row>
    <row r="56" spans="1:7" ht="14.25" thickBot="1">
      <c r="A56" s="38" t="s">
        <v>101</v>
      </c>
      <c r="B56" s="39"/>
      <c r="C56" s="39"/>
      <c r="D56" s="39"/>
      <c r="E56" s="40"/>
      <c r="F56" s="40"/>
      <c r="G56" s="40"/>
    </row>
    <row r="57" spans="1:7" ht="13.5">
      <c r="A57" s="41"/>
      <c r="B57" s="42"/>
      <c r="C57" s="43"/>
      <c r="D57" s="43"/>
      <c r="E57" s="44"/>
      <c r="F57" s="43"/>
      <c r="G57" s="44"/>
    </row>
    <row r="58" spans="1:7" ht="13.5">
      <c r="A58" s="4" t="s">
        <v>46</v>
      </c>
      <c r="B58" s="2"/>
      <c r="C58" s="2"/>
      <c r="D58" s="1"/>
      <c r="E58" s="2"/>
      <c r="F58" s="2"/>
      <c r="G58" s="2"/>
    </row>
    <row r="59" spans="1:7" ht="13.5">
      <c r="A59" s="2" t="s">
        <v>47</v>
      </c>
      <c r="B59" s="23">
        <v>6</v>
      </c>
      <c r="C59" s="2"/>
      <c r="D59" s="1"/>
      <c r="E59" s="2"/>
      <c r="F59" s="2"/>
      <c r="G59" s="2"/>
    </row>
    <row r="60" spans="1:7" ht="13.5">
      <c r="A60" s="2" t="s">
        <v>48</v>
      </c>
      <c r="B60" s="24">
        <v>0.8</v>
      </c>
      <c r="C60" s="2"/>
      <c r="D60" s="1"/>
      <c r="E60" s="2"/>
      <c r="F60" s="2"/>
      <c r="G60" s="2"/>
    </row>
    <row r="61" spans="1:7" ht="13.5">
      <c r="A61" s="2" t="s">
        <v>49</v>
      </c>
      <c r="B61" s="25">
        <v>11.5</v>
      </c>
      <c r="C61" s="26" t="s">
        <v>50</v>
      </c>
      <c r="D61" s="1"/>
      <c r="E61" s="2"/>
      <c r="F61" s="2"/>
      <c r="G61" s="2"/>
    </row>
    <row r="62" spans="1:7" ht="13.5">
      <c r="A62" s="2" t="s">
        <v>51</v>
      </c>
      <c r="B62" s="27">
        <v>0.735</v>
      </c>
      <c r="C62" s="28"/>
      <c r="D62" s="1"/>
      <c r="E62" s="2"/>
      <c r="F62" s="2"/>
      <c r="G62" s="2"/>
    </row>
    <row r="63" spans="1:7" ht="13.5">
      <c r="A63" s="2" t="s">
        <v>52</v>
      </c>
      <c r="B63" s="29">
        <f>B45*60/453.6/B61</f>
        <v>3.484734401811555</v>
      </c>
      <c r="C63" s="2" t="s">
        <v>44</v>
      </c>
      <c r="D63" s="1"/>
      <c r="E63" s="2"/>
      <c r="F63" s="2"/>
      <c r="G63" s="2"/>
    </row>
    <row r="64" spans="1:7" ht="13.5">
      <c r="A64" s="2" t="s">
        <v>52</v>
      </c>
      <c r="B64" s="30">
        <f>B63*60/(B62*62.37)*7.4805</f>
        <v>34.118385923048216</v>
      </c>
      <c r="C64" s="2" t="s">
        <v>53</v>
      </c>
      <c r="D64" s="1"/>
      <c r="E64" s="2"/>
      <c r="F64" s="2"/>
      <c r="G64" s="2"/>
    </row>
    <row r="65" spans="1:7" ht="13.5">
      <c r="A65" s="2" t="s">
        <v>54</v>
      </c>
      <c r="B65" s="31">
        <f>B63*60/B59/B60</f>
        <v>43.55918002264443</v>
      </c>
      <c r="C65" s="2" t="s">
        <v>55</v>
      </c>
      <c r="D65" s="1"/>
      <c r="E65" s="2"/>
      <c r="F65" s="2"/>
      <c r="G65" s="2"/>
    </row>
    <row r="66" spans="1:7" ht="13.5">
      <c r="A66" s="2"/>
      <c r="B66" s="31"/>
      <c r="C66" s="2"/>
      <c r="D66" s="1"/>
      <c r="E66" s="2"/>
      <c r="F66" s="2"/>
      <c r="G66" s="2"/>
    </row>
    <row r="67" spans="1:7" ht="13.5">
      <c r="A67" s="2" t="s">
        <v>56</v>
      </c>
      <c r="B67" s="31">
        <f>B63*60/0.7</f>
        <v>298.6915201552762</v>
      </c>
      <c r="C67" s="2" t="s">
        <v>57</v>
      </c>
      <c r="D67" s="1"/>
      <c r="E67" s="2"/>
      <c r="F67" s="2"/>
      <c r="G67" s="2"/>
    </row>
    <row r="68" spans="1:7" ht="13.5">
      <c r="A68" s="2" t="s">
        <v>56</v>
      </c>
      <c r="B68" s="31">
        <f>B63*60/0.6</f>
        <v>348.4734401811555</v>
      </c>
      <c r="C68" s="2" t="s">
        <v>58</v>
      </c>
      <c r="D68" s="1"/>
      <c r="E68" s="2"/>
      <c r="F68" s="2"/>
      <c r="G68" s="2"/>
    </row>
    <row r="69" spans="1:7" ht="13.5">
      <c r="A69" s="2" t="s">
        <v>56</v>
      </c>
      <c r="B69" s="31">
        <f>B63*60/0.5</f>
        <v>418.1681282173866</v>
      </c>
      <c r="C69" s="2" t="s">
        <v>59</v>
      </c>
      <c r="D69" s="1"/>
      <c r="E69" s="2"/>
      <c r="F69" s="2"/>
      <c r="G69" s="2"/>
    </row>
    <row r="70" spans="1:7" ht="14.25" thickBot="1">
      <c r="A70" s="2"/>
      <c r="B70" s="31"/>
      <c r="C70" s="2"/>
      <c r="D70" s="1"/>
      <c r="E70" s="2"/>
      <c r="F70" s="2"/>
      <c r="G70" s="2"/>
    </row>
    <row r="71" spans="1:7" ht="14.25" thickBot="1">
      <c r="A71" s="38" t="s">
        <v>102</v>
      </c>
      <c r="B71" s="39"/>
      <c r="C71" s="39"/>
      <c r="D71" s="39"/>
      <c r="E71" s="40"/>
      <c r="F71" s="40"/>
      <c r="G71" s="40"/>
    </row>
    <row r="72" spans="1:7" ht="13.5">
      <c r="A72" s="44"/>
      <c r="B72" s="45"/>
      <c r="C72" s="44"/>
      <c r="D72" s="43"/>
      <c r="E72" s="44"/>
      <c r="F72" s="44"/>
      <c r="G72" s="44"/>
    </row>
    <row r="73" spans="1:7" ht="13.5">
      <c r="A73" s="4" t="s">
        <v>60</v>
      </c>
      <c r="B73" s="11"/>
      <c r="C73" s="1"/>
      <c r="D73" s="1"/>
      <c r="E73" s="2"/>
      <c r="F73" s="2"/>
      <c r="G73" s="2"/>
    </row>
    <row r="74" spans="1:7" ht="13.5">
      <c r="A74" s="22" t="s">
        <v>61</v>
      </c>
      <c r="B74" s="32">
        <f>1/(1/B11*B18)</f>
        <v>0.44307692307692303</v>
      </c>
      <c r="C74" s="1" t="s">
        <v>62</v>
      </c>
      <c r="D74" s="1"/>
      <c r="E74" s="2"/>
      <c r="F74" s="2"/>
      <c r="G74" s="2"/>
    </row>
    <row r="75" spans="1:7" ht="13.5">
      <c r="A75" s="1" t="s">
        <v>63</v>
      </c>
      <c r="B75" s="33">
        <f>1545*B10*(B22+459.6)/(B9*B74)*(B32^B74-1)</f>
        <v>34484.215968082026</v>
      </c>
      <c r="C75" s="1" t="s">
        <v>64</v>
      </c>
      <c r="D75" s="1"/>
      <c r="E75" s="2"/>
      <c r="F75" s="2"/>
      <c r="G75" s="2"/>
    </row>
    <row r="76" spans="1:7" ht="13.5">
      <c r="A76" s="1" t="s">
        <v>65</v>
      </c>
      <c r="B76" s="34">
        <f>B43*B75/(B18*33000)</f>
        <v>64.42591317435712</v>
      </c>
      <c r="C76" s="1" t="s">
        <v>66</v>
      </c>
      <c r="D76" s="1"/>
      <c r="E76" s="2"/>
      <c r="F76" s="2"/>
      <c r="G76" s="2"/>
    </row>
    <row r="77" spans="1:7" ht="13.5">
      <c r="A77" s="1"/>
      <c r="B77" s="7"/>
      <c r="C77" s="1"/>
      <c r="D77" s="1"/>
      <c r="E77" s="2"/>
      <c r="F77" s="2"/>
      <c r="G77" s="2"/>
    </row>
    <row r="78" spans="1:7" ht="13.5">
      <c r="A78" s="4" t="s">
        <v>67</v>
      </c>
      <c r="B78" s="11"/>
      <c r="C78" s="1"/>
      <c r="D78" s="1"/>
      <c r="E78" s="2"/>
      <c r="F78" s="2"/>
      <c r="G78" s="2"/>
    </row>
    <row r="79" spans="1:7" ht="13.5">
      <c r="A79" s="2" t="s">
        <v>68</v>
      </c>
      <c r="B79" s="23">
        <v>1600</v>
      </c>
      <c r="C79" s="2" t="s">
        <v>17</v>
      </c>
      <c r="D79" s="2"/>
      <c r="E79" s="2"/>
      <c r="F79" s="2"/>
      <c r="G79" s="2"/>
    </row>
    <row r="80" spans="1:7" ht="13.5">
      <c r="A80" s="2" t="s">
        <v>69</v>
      </c>
      <c r="B80" s="50">
        <v>28.36</v>
      </c>
      <c r="C80" s="2"/>
      <c r="D80" s="2"/>
      <c r="E80" s="2"/>
      <c r="F80" s="2"/>
      <c r="G80" s="2"/>
    </row>
    <row r="81" spans="1:7" ht="13.5">
      <c r="A81" s="26" t="s">
        <v>70</v>
      </c>
      <c r="B81" s="51">
        <v>0.222</v>
      </c>
      <c r="C81" s="2"/>
      <c r="D81" s="2"/>
      <c r="E81" s="2"/>
      <c r="F81" s="2"/>
      <c r="G81" s="2"/>
    </row>
    <row r="82" spans="1:7" ht="13.5">
      <c r="A82" s="2" t="s">
        <v>71</v>
      </c>
      <c r="B82" s="29">
        <f>B63/B17+B43</f>
        <v>43.55918002264444</v>
      </c>
      <c r="C82" s="2" t="s">
        <v>44</v>
      </c>
      <c r="D82" s="2"/>
      <c r="E82" s="2"/>
      <c r="F82" s="2"/>
      <c r="G82" s="2"/>
    </row>
    <row r="83" spans="1:7" ht="13.5">
      <c r="A83" s="26" t="s">
        <v>72</v>
      </c>
      <c r="B83" s="35">
        <v>0.3</v>
      </c>
      <c r="C83" s="2" t="s">
        <v>73</v>
      </c>
      <c r="D83" s="2"/>
      <c r="E83" s="2"/>
      <c r="F83" s="2"/>
      <c r="G83" s="2"/>
    </row>
    <row r="84" spans="1:7" ht="13.5">
      <c r="A84" s="2" t="s">
        <v>74</v>
      </c>
      <c r="B84" s="29">
        <f>(1-B83)*B82</f>
        <v>30.491426015851108</v>
      </c>
      <c r="C84" s="2" t="s">
        <v>44</v>
      </c>
      <c r="D84" s="2"/>
      <c r="E84" s="2"/>
      <c r="F84" s="2"/>
      <c r="G84" s="2"/>
    </row>
    <row r="85" spans="1:7" ht="13.5">
      <c r="A85" s="2"/>
      <c r="B85" s="29"/>
      <c r="C85" s="2"/>
      <c r="D85" s="2"/>
      <c r="E85" s="2"/>
      <c r="F85" s="2"/>
      <c r="G85" s="2"/>
    </row>
    <row r="86" spans="1:7" ht="13.5">
      <c r="A86" s="4" t="s">
        <v>75</v>
      </c>
      <c r="B86" s="29"/>
      <c r="C86" s="2"/>
      <c r="D86" s="2"/>
      <c r="E86" s="2"/>
      <c r="F86" s="2"/>
      <c r="G86" s="2"/>
    </row>
    <row r="87" spans="1:7" ht="13.5">
      <c r="A87" s="2" t="s">
        <v>76</v>
      </c>
      <c r="B87" s="24">
        <v>0.8</v>
      </c>
      <c r="C87" s="2"/>
      <c r="D87" s="2"/>
      <c r="E87" s="2"/>
      <c r="F87" s="2"/>
      <c r="G87" s="2"/>
    </row>
    <row r="88" spans="1:7" ht="13.5">
      <c r="A88" s="2" t="s">
        <v>77</v>
      </c>
      <c r="B88" s="24">
        <v>0.99</v>
      </c>
      <c r="C88" s="2"/>
      <c r="D88" s="2"/>
      <c r="E88" s="2"/>
      <c r="F88" s="2"/>
      <c r="G88" s="2"/>
    </row>
    <row r="89" spans="1:7" ht="13.5">
      <c r="A89" s="1" t="s">
        <v>78</v>
      </c>
      <c r="B89" s="34">
        <f>B76</f>
        <v>64.42591317435712</v>
      </c>
      <c r="C89" s="1" t="s">
        <v>79</v>
      </c>
      <c r="D89" s="2"/>
      <c r="E89" s="2"/>
      <c r="F89" s="2"/>
      <c r="G89" s="2"/>
    </row>
    <row r="90" spans="1:7" ht="13.5">
      <c r="A90" s="2" t="s">
        <v>80</v>
      </c>
      <c r="B90" s="29">
        <f>1/((1-(B89*33000*B80*B81/(B88*B87*B84*1545*(459.6+B79))))^(1/B81))</f>
        <v>2.3681554313718673</v>
      </c>
      <c r="C90" s="2" t="s">
        <v>81</v>
      </c>
      <c r="D90" s="2"/>
      <c r="E90" s="2"/>
      <c r="F90" s="2"/>
      <c r="G90" s="2"/>
    </row>
    <row r="91" spans="1:7" ht="13.5">
      <c r="A91" s="2" t="s">
        <v>82</v>
      </c>
      <c r="B91" s="36">
        <f>B79-(B87*(459.6+B79)*(1-(1/B90)^B81))</f>
        <v>1312.9931186426725</v>
      </c>
      <c r="C91" s="2" t="s">
        <v>17</v>
      </c>
      <c r="D91" s="2"/>
      <c r="E91" s="2"/>
      <c r="F91" s="2"/>
      <c r="G91" s="2"/>
    </row>
    <row r="92" spans="1:7" ht="13.5">
      <c r="A92" s="2"/>
      <c r="B92" s="2"/>
      <c r="C92" s="2"/>
      <c r="D92" s="2"/>
      <c r="E92" s="2"/>
      <c r="F92" s="2"/>
      <c r="G92" s="2"/>
    </row>
    <row r="93" spans="1:7" ht="13.5">
      <c r="A93" s="4" t="s">
        <v>83</v>
      </c>
      <c r="B93" s="2"/>
      <c r="C93" s="2"/>
      <c r="D93" s="2"/>
      <c r="E93" s="2"/>
      <c r="F93" s="2"/>
      <c r="G93" s="2"/>
    </row>
    <row r="94" spans="1:7" ht="13.5">
      <c r="A94" s="2" t="s">
        <v>84</v>
      </c>
      <c r="B94" s="25">
        <v>5</v>
      </c>
      <c r="C94" s="2" t="s">
        <v>85</v>
      </c>
      <c r="D94" s="2"/>
      <c r="E94" s="2"/>
      <c r="F94" s="2"/>
      <c r="G94" s="2"/>
    </row>
    <row r="95" spans="1:7" ht="13.5">
      <c r="A95" s="2" t="s">
        <v>86</v>
      </c>
      <c r="B95" s="31">
        <f>(B94+D21)*B90-D21</f>
        <v>31.9462727104129</v>
      </c>
      <c r="C95" s="2" t="s">
        <v>164</v>
      </c>
      <c r="D95" s="2"/>
      <c r="E95" s="2"/>
      <c r="F95" s="2"/>
      <c r="G95" s="2"/>
    </row>
    <row r="96" spans="1:7" ht="13.5">
      <c r="A96" s="2" t="s">
        <v>87</v>
      </c>
      <c r="B96" s="37">
        <f>B95/B30</f>
        <v>1.4521033050187682</v>
      </c>
      <c r="C96" s="2"/>
      <c r="D96" s="2"/>
      <c r="E96" s="2"/>
      <c r="F96" s="2"/>
      <c r="G96" s="2"/>
    </row>
    <row r="97" spans="1:7" ht="14.25" thickBot="1">
      <c r="A97" s="2"/>
      <c r="B97" s="37"/>
      <c r="C97" s="2"/>
      <c r="D97" s="2"/>
      <c r="E97" s="2"/>
      <c r="F97" s="2"/>
      <c r="G97" s="2"/>
    </row>
    <row r="98" spans="1:7" ht="14.25" thickBot="1">
      <c r="A98" s="38" t="s">
        <v>103</v>
      </c>
      <c r="B98" s="39"/>
      <c r="C98" s="39"/>
      <c r="D98" s="39"/>
      <c r="E98" s="40"/>
      <c r="F98" s="40"/>
      <c r="G98" s="40"/>
    </row>
    <row r="99" spans="1:7" ht="13.5">
      <c r="A99" s="46"/>
      <c r="B99" s="46"/>
      <c r="C99" s="46"/>
      <c r="D99" s="46"/>
      <c r="E99" s="46"/>
      <c r="F99" s="46"/>
      <c r="G99" s="46"/>
    </row>
    <row r="100" ht="13.5">
      <c r="A100" s="4" t="s">
        <v>91</v>
      </c>
    </row>
    <row r="101" spans="1:3" ht="13.5">
      <c r="A101" s="3" t="s">
        <v>95</v>
      </c>
      <c r="B101" s="25">
        <v>3</v>
      </c>
      <c r="C101" s="3" t="s">
        <v>93</v>
      </c>
    </row>
    <row r="102" spans="1:3" ht="13.5">
      <c r="A102" s="3" t="s">
        <v>94</v>
      </c>
      <c r="B102" s="31">
        <f>(B43/B27)/(PI()*(B101/24)^2)/60</f>
        <v>192.59186168028236</v>
      </c>
      <c r="C102" s="3" t="s">
        <v>92</v>
      </c>
    </row>
    <row r="103" spans="1:3" ht="13.5">
      <c r="A103" s="3" t="s">
        <v>96</v>
      </c>
      <c r="B103" s="25">
        <v>3</v>
      </c>
      <c r="C103" s="3" t="s">
        <v>93</v>
      </c>
    </row>
    <row r="104" spans="1:3" ht="13.5">
      <c r="A104" s="3" t="s">
        <v>97</v>
      </c>
      <c r="B104" s="31">
        <f>(B43/B33)/(PI()*(B103/24)^2)/60</f>
        <v>108.26155222517697</v>
      </c>
      <c r="C104" s="3" t="s">
        <v>92</v>
      </c>
    </row>
    <row r="105" spans="1:3" ht="13.5">
      <c r="A105" s="3" t="s">
        <v>98</v>
      </c>
      <c r="B105" s="25">
        <v>2.5</v>
      </c>
      <c r="C105" s="3" t="s">
        <v>93</v>
      </c>
    </row>
    <row r="106" spans="1:3" ht="13.5">
      <c r="A106" s="3" t="s">
        <v>99</v>
      </c>
      <c r="B106" s="31">
        <f>(B45/453.6*60/B38)/(PI()*(B105/24)^2)/60</f>
        <v>122.5493061807594</v>
      </c>
      <c r="C106" s="3" t="s">
        <v>92</v>
      </c>
    </row>
  </sheetData>
  <sheetProtection sheet="1" objects="1" scenarios="1"/>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E107"/>
  <sheetViews>
    <sheetView workbookViewId="0" topLeftCell="A1">
      <selection activeCell="B1" sqref="B1"/>
    </sheetView>
  </sheetViews>
  <sheetFormatPr defaultColWidth="9.00390625" defaultRowHeight="13.5"/>
  <cols>
    <col min="1" max="1" width="24.625" style="0" customWidth="1"/>
    <col min="2" max="2" width="88.875" style="0" customWidth="1"/>
  </cols>
  <sheetData>
    <row r="1" spans="1:2" ht="13.5">
      <c r="A1" s="48" t="s">
        <v>160</v>
      </c>
      <c r="B1" s="1" t="s">
        <v>167</v>
      </c>
    </row>
    <row r="2" ht="40.5">
      <c r="B2" s="47" t="s">
        <v>161</v>
      </c>
    </row>
    <row r="3" ht="13.5">
      <c r="B3" s="47" t="s">
        <v>168</v>
      </c>
    </row>
    <row r="4" ht="27">
      <c r="B4" s="47" t="s">
        <v>169</v>
      </c>
    </row>
    <row r="6" spans="1:2" ht="13.5">
      <c r="A6" s="49" t="s">
        <v>153</v>
      </c>
      <c r="B6" s="49" t="s">
        <v>154</v>
      </c>
    </row>
    <row r="8" spans="1:2" ht="13.5">
      <c r="A8" t="s">
        <v>100</v>
      </c>
      <c r="B8" s="47"/>
    </row>
    <row r="9" ht="40.5">
      <c r="B9" s="47" t="s">
        <v>155</v>
      </c>
    </row>
    <row r="10" ht="13.5">
      <c r="B10" s="47"/>
    </row>
    <row r="11" spans="1:2" ht="13.5">
      <c r="A11" t="s">
        <v>0</v>
      </c>
      <c r="B11" s="47" t="s">
        <v>104</v>
      </c>
    </row>
    <row r="12" spans="1:2" ht="13.5">
      <c r="A12" t="s">
        <v>1</v>
      </c>
      <c r="B12" s="47" t="s">
        <v>105</v>
      </c>
    </row>
    <row r="13" spans="1:2" ht="13.5">
      <c r="A13" t="s">
        <v>2</v>
      </c>
      <c r="B13" s="47" t="s">
        <v>106</v>
      </c>
    </row>
    <row r="14" spans="1:2" ht="13.5">
      <c r="A14" t="s">
        <v>3</v>
      </c>
      <c r="B14" s="47"/>
    </row>
    <row r="15" ht="13.5">
      <c r="B15" s="47"/>
    </row>
    <row r="16" spans="1:2" ht="13.5">
      <c r="A16" t="s">
        <v>4</v>
      </c>
      <c r="B16" s="47"/>
    </row>
    <row r="17" spans="1:2" ht="13.5">
      <c r="A17" t="s">
        <v>5</v>
      </c>
      <c r="B17" s="47" t="s">
        <v>108</v>
      </c>
    </row>
    <row r="18" spans="1:2" ht="13.5">
      <c r="A18" t="s">
        <v>7</v>
      </c>
      <c r="B18" s="47" t="s">
        <v>109</v>
      </c>
    </row>
    <row r="19" spans="1:2" ht="40.5">
      <c r="A19" t="s">
        <v>9</v>
      </c>
      <c r="B19" s="47" t="s">
        <v>107</v>
      </c>
    </row>
    <row r="20" spans="1:2" ht="13.5">
      <c r="A20" t="s">
        <v>10</v>
      </c>
      <c r="B20" s="47" t="s">
        <v>108</v>
      </c>
    </row>
    <row r="21" spans="1:2" ht="27">
      <c r="A21" t="s">
        <v>11</v>
      </c>
      <c r="B21" s="47" t="s">
        <v>110</v>
      </c>
    </row>
    <row r="22" ht="13.5">
      <c r="B22" s="47"/>
    </row>
    <row r="23" spans="1:2" ht="13.5">
      <c r="A23" t="s">
        <v>12</v>
      </c>
      <c r="B23" s="47"/>
    </row>
    <row r="24" spans="1:5" ht="27">
      <c r="A24" t="s">
        <v>13</v>
      </c>
      <c r="B24" s="47" t="s">
        <v>111</v>
      </c>
      <c r="D24">
        <v>14.69532999872209</v>
      </c>
      <c r="E24" t="s">
        <v>15</v>
      </c>
    </row>
    <row r="25" spans="1:2" ht="13.5">
      <c r="A25" t="s">
        <v>16</v>
      </c>
      <c r="B25" s="47" t="s">
        <v>112</v>
      </c>
    </row>
    <row r="26" ht="13.5">
      <c r="B26" s="47"/>
    </row>
    <row r="27" spans="1:2" ht="13.5">
      <c r="A27" t="s">
        <v>18</v>
      </c>
      <c r="B27" s="47"/>
    </row>
    <row r="28" spans="1:2" ht="40.5">
      <c r="A28" t="s">
        <v>19</v>
      </c>
      <c r="B28" s="47" t="s">
        <v>113</v>
      </c>
    </row>
    <row r="29" spans="1:2" ht="27">
      <c r="A29" t="s">
        <v>20</v>
      </c>
      <c r="B29" s="47" t="s">
        <v>114</v>
      </c>
    </row>
    <row r="30" spans="1:2" ht="13.5">
      <c r="A30" t="s">
        <v>21</v>
      </c>
      <c r="B30" s="47" t="s">
        <v>115</v>
      </c>
    </row>
    <row r="31" ht="13.5">
      <c r="B31" s="47"/>
    </row>
    <row r="32" spans="1:2" ht="13.5">
      <c r="A32" t="s">
        <v>23</v>
      </c>
      <c r="B32" s="47"/>
    </row>
    <row r="33" spans="1:2" ht="27">
      <c r="A33" t="s">
        <v>24</v>
      </c>
      <c r="B33" s="47" t="s">
        <v>156</v>
      </c>
    </row>
    <row r="34" spans="1:2" ht="13.5">
      <c r="A34" t="s">
        <v>26</v>
      </c>
      <c r="B34" s="47" t="s">
        <v>116</v>
      </c>
    </row>
    <row r="35" spans="1:2" ht="27">
      <c r="A35" t="s">
        <v>27</v>
      </c>
      <c r="B35" s="47" t="s">
        <v>117</v>
      </c>
    </row>
    <row r="36" spans="1:2" ht="13.5">
      <c r="A36" t="s">
        <v>28</v>
      </c>
      <c r="B36" s="47" t="s">
        <v>118</v>
      </c>
    </row>
    <row r="37" ht="13.5">
      <c r="B37" s="47"/>
    </row>
    <row r="38" spans="1:2" ht="13.5">
      <c r="A38" t="s">
        <v>29</v>
      </c>
      <c r="B38" s="47"/>
    </row>
    <row r="39" spans="1:2" ht="13.5">
      <c r="A39" t="s">
        <v>30</v>
      </c>
      <c r="B39" s="47" t="s">
        <v>119</v>
      </c>
    </row>
    <row r="40" spans="1:2" ht="40.5">
      <c r="A40" t="s">
        <v>31</v>
      </c>
      <c r="B40" s="47" t="s">
        <v>120</v>
      </c>
    </row>
    <row r="41" spans="1:2" ht="13.5">
      <c r="A41" t="s">
        <v>32</v>
      </c>
      <c r="B41" s="47" t="s">
        <v>121</v>
      </c>
    </row>
    <row r="42" spans="1:2" ht="27">
      <c r="A42" t="s">
        <v>33</v>
      </c>
      <c r="B42" s="47" t="s">
        <v>122</v>
      </c>
    </row>
    <row r="43" ht="13.5">
      <c r="B43" s="47"/>
    </row>
    <row r="44" spans="1:2" ht="13.5">
      <c r="A44" t="s">
        <v>35</v>
      </c>
      <c r="B44" s="47"/>
    </row>
    <row r="45" spans="1:2" ht="13.5">
      <c r="A45" t="s">
        <v>36</v>
      </c>
      <c r="B45" s="47" t="s">
        <v>123</v>
      </c>
    </row>
    <row r="46" spans="1:2" ht="27">
      <c r="A46" t="s">
        <v>36</v>
      </c>
      <c r="B46" s="47" t="s">
        <v>124</v>
      </c>
    </row>
    <row r="47" spans="1:2" ht="13.5">
      <c r="A47" t="s">
        <v>36</v>
      </c>
      <c r="B47" s="47" t="s">
        <v>125</v>
      </c>
    </row>
    <row r="48" spans="1:2" ht="13.5">
      <c r="A48" t="s">
        <v>40</v>
      </c>
      <c r="B48" s="47" t="s">
        <v>126</v>
      </c>
    </row>
    <row r="49" ht="13.5">
      <c r="B49" s="47"/>
    </row>
    <row r="50" spans="1:2" ht="13.5">
      <c r="A50" t="s">
        <v>36</v>
      </c>
      <c r="B50" s="47" t="s">
        <v>127</v>
      </c>
    </row>
    <row r="51" spans="1:2" ht="13.5">
      <c r="A51" t="s">
        <v>36</v>
      </c>
      <c r="B51" s="47" t="s">
        <v>128</v>
      </c>
    </row>
    <row r="52" ht="13.5">
      <c r="B52" s="47"/>
    </row>
    <row r="53" spans="1:2" ht="13.5">
      <c r="A53" t="s">
        <v>88</v>
      </c>
      <c r="B53" s="47"/>
    </row>
    <row r="54" spans="1:2" ht="40.5">
      <c r="A54" t="s">
        <v>89</v>
      </c>
      <c r="B54" s="47" t="s">
        <v>129</v>
      </c>
    </row>
    <row r="55" spans="1:2" ht="13.5">
      <c r="A55" t="s">
        <v>90</v>
      </c>
      <c r="B55" s="47"/>
    </row>
    <row r="56" spans="1:2" ht="13.5">
      <c r="A56" t="s">
        <v>43</v>
      </c>
      <c r="B56" s="47"/>
    </row>
    <row r="57" spans="1:2" ht="13.5">
      <c r="A57" t="s">
        <v>45</v>
      </c>
      <c r="B57" s="47"/>
    </row>
    <row r="58" ht="13.5">
      <c r="B58" s="47"/>
    </row>
    <row r="59" spans="1:2" ht="13.5">
      <c r="A59" t="s">
        <v>101</v>
      </c>
      <c r="B59" s="47"/>
    </row>
    <row r="60" ht="27">
      <c r="B60" s="47" t="s">
        <v>130</v>
      </c>
    </row>
    <row r="61" spans="1:2" ht="13.5">
      <c r="A61" t="s">
        <v>46</v>
      </c>
      <c r="B61" s="47"/>
    </row>
    <row r="62" spans="1:2" ht="13.5">
      <c r="A62" t="s">
        <v>47</v>
      </c>
      <c r="B62" s="47" t="s">
        <v>108</v>
      </c>
    </row>
    <row r="63" spans="1:2" ht="13.5">
      <c r="A63" t="s">
        <v>48</v>
      </c>
      <c r="B63" s="47" t="s">
        <v>131</v>
      </c>
    </row>
    <row r="64" spans="1:2" ht="13.5">
      <c r="A64" t="s">
        <v>49</v>
      </c>
      <c r="B64" s="47" t="s">
        <v>132</v>
      </c>
    </row>
    <row r="65" spans="1:2" ht="40.5">
      <c r="A65" t="s">
        <v>51</v>
      </c>
      <c r="B65" s="47" t="s">
        <v>133</v>
      </c>
    </row>
    <row r="66" spans="1:2" ht="13.5">
      <c r="A66" t="s">
        <v>52</v>
      </c>
      <c r="B66" s="47" t="s">
        <v>134</v>
      </c>
    </row>
    <row r="67" spans="1:2" ht="13.5">
      <c r="A67" t="s">
        <v>52</v>
      </c>
      <c r="B67" s="47" t="s">
        <v>135</v>
      </c>
    </row>
    <row r="68" spans="1:2" ht="13.5">
      <c r="A68" t="s">
        <v>54</v>
      </c>
      <c r="B68" s="47" t="s">
        <v>108</v>
      </c>
    </row>
    <row r="69" ht="13.5">
      <c r="B69" s="47"/>
    </row>
    <row r="70" spans="1:2" ht="27">
      <c r="A70" t="s">
        <v>56</v>
      </c>
      <c r="B70" s="47" t="s">
        <v>136</v>
      </c>
    </row>
    <row r="71" ht="13.5">
      <c r="B71" s="47"/>
    </row>
    <row r="72" spans="1:2" ht="13.5">
      <c r="A72" t="s">
        <v>102</v>
      </c>
      <c r="B72" s="47"/>
    </row>
    <row r="73" ht="67.5">
      <c r="B73" s="47" t="s">
        <v>157</v>
      </c>
    </row>
    <row r="74" spans="1:2" ht="13.5">
      <c r="A74" t="s">
        <v>60</v>
      </c>
      <c r="B74" s="47"/>
    </row>
    <row r="75" spans="1:2" ht="13.5">
      <c r="A75" t="s">
        <v>61</v>
      </c>
      <c r="B75" s="47" t="s">
        <v>158</v>
      </c>
    </row>
    <row r="76" spans="1:2" ht="13.5">
      <c r="A76" t="s">
        <v>63</v>
      </c>
      <c r="B76" s="47" t="s">
        <v>158</v>
      </c>
    </row>
    <row r="77" spans="1:2" ht="54">
      <c r="A77" t="s">
        <v>65</v>
      </c>
      <c r="B77" s="47" t="s">
        <v>137</v>
      </c>
    </row>
    <row r="78" ht="13.5">
      <c r="B78" s="47"/>
    </row>
    <row r="79" spans="1:2" ht="13.5">
      <c r="A79" t="s">
        <v>67</v>
      </c>
      <c r="B79" s="47"/>
    </row>
    <row r="80" spans="1:2" ht="13.5">
      <c r="A80" t="s">
        <v>68</v>
      </c>
      <c r="B80" s="47" t="s">
        <v>140</v>
      </c>
    </row>
    <row r="81" spans="1:2" ht="13.5">
      <c r="A81" t="s">
        <v>69</v>
      </c>
      <c r="B81" s="47" t="s">
        <v>138</v>
      </c>
    </row>
    <row r="82" spans="1:2" ht="13.5">
      <c r="A82" t="s">
        <v>70</v>
      </c>
      <c r="B82" s="47" t="s">
        <v>138</v>
      </c>
    </row>
    <row r="83" spans="1:2" ht="13.5">
      <c r="A83" t="s">
        <v>71</v>
      </c>
      <c r="B83" s="47" t="s">
        <v>139</v>
      </c>
    </row>
    <row r="84" spans="1:2" ht="27">
      <c r="A84" t="s">
        <v>72</v>
      </c>
      <c r="B84" s="47" t="s">
        <v>141</v>
      </c>
    </row>
    <row r="85" spans="1:2" ht="27">
      <c r="A85" t="s">
        <v>74</v>
      </c>
      <c r="B85" s="47" t="s">
        <v>142</v>
      </c>
    </row>
    <row r="86" ht="13.5">
      <c r="B86" s="47"/>
    </row>
    <row r="87" spans="1:2" ht="13.5">
      <c r="A87" t="s">
        <v>75</v>
      </c>
      <c r="B87" s="47"/>
    </row>
    <row r="88" spans="1:2" ht="27">
      <c r="A88" t="s">
        <v>76</v>
      </c>
      <c r="B88" s="47" t="s">
        <v>143</v>
      </c>
    </row>
    <row r="89" spans="1:2" ht="27">
      <c r="A89" t="s">
        <v>77</v>
      </c>
      <c r="B89" s="47" t="s">
        <v>144</v>
      </c>
    </row>
    <row r="90" spans="1:2" ht="13.5">
      <c r="A90" t="s">
        <v>78</v>
      </c>
      <c r="B90" s="47" t="s">
        <v>145</v>
      </c>
    </row>
    <row r="91" spans="1:2" ht="40.5">
      <c r="A91" t="s">
        <v>80</v>
      </c>
      <c r="B91" s="47" t="s">
        <v>146</v>
      </c>
    </row>
    <row r="92" spans="1:2" ht="27">
      <c r="A92" t="s">
        <v>82</v>
      </c>
      <c r="B92" s="47" t="s">
        <v>147</v>
      </c>
    </row>
    <row r="93" ht="13.5">
      <c r="B93" s="47"/>
    </row>
    <row r="94" spans="1:2" ht="13.5">
      <c r="A94" t="s">
        <v>83</v>
      </c>
      <c r="B94" s="47"/>
    </row>
    <row r="95" spans="1:2" ht="40.5">
      <c r="A95" t="s">
        <v>84</v>
      </c>
      <c r="B95" s="47" t="s">
        <v>148</v>
      </c>
    </row>
    <row r="96" spans="1:2" ht="40.5">
      <c r="A96" t="s">
        <v>86</v>
      </c>
      <c r="B96" s="47" t="s">
        <v>165</v>
      </c>
    </row>
    <row r="97" spans="1:2" ht="13.5">
      <c r="A97" t="s">
        <v>87</v>
      </c>
      <c r="B97" s="47" t="s">
        <v>149</v>
      </c>
    </row>
    <row r="98" ht="13.5">
      <c r="B98" s="47"/>
    </row>
    <row r="99" spans="1:2" ht="13.5">
      <c r="A99" t="s">
        <v>103</v>
      </c>
      <c r="B99" s="47"/>
    </row>
    <row r="100" ht="40.5">
      <c r="B100" s="47" t="s">
        <v>159</v>
      </c>
    </row>
    <row r="101" spans="1:2" ht="13.5">
      <c r="A101" t="s">
        <v>91</v>
      </c>
      <c r="B101" s="47"/>
    </row>
    <row r="102" spans="1:2" ht="13.5">
      <c r="A102" t="s">
        <v>95</v>
      </c>
      <c r="B102" s="47" t="s">
        <v>152</v>
      </c>
    </row>
    <row r="103" spans="1:2" ht="13.5">
      <c r="A103" t="s">
        <v>94</v>
      </c>
      <c r="B103" s="47"/>
    </row>
    <row r="104" spans="1:2" ht="13.5">
      <c r="A104" t="s">
        <v>96</v>
      </c>
      <c r="B104" s="47" t="s">
        <v>151</v>
      </c>
    </row>
    <row r="105" spans="1:2" ht="13.5">
      <c r="A105" t="s">
        <v>97</v>
      </c>
      <c r="B105" s="47"/>
    </row>
    <row r="106" spans="1:2" ht="13.5">
      <c r="A106" t="s">
        <v>98</v>
      </c>
      <c r="B106" s="47" t="s">
        <v>150</v>
      </c>
    </row>
    <row r="107" spans="1:2" ht="13.5">
      <c r="A107" t="s">
        <v>99</v>
      </c>
      <c r="B107" s="47"/>
    </row>
  </sheetData>
  <sheetProtection password="DECF"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Spaceship Earth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Estill</dc:creator>
  <cp:keywords/>
  <dc:description/>
  <cp:lastModifiedBy>John Estill</cp:lastModifiedBy>
  <dcterms:created xsi:type="dcterms:W3CDTF">2001-05-31T19:34:19Z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